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ndo Concursable\FSEV SELECCIONES\2020\1 Llamado Suelos\"/>
    </mc:Choice>
  </mc:AlternateContent>
  <workbookProtection workbookAlgorithmName="SHA-512" workbookHashValue="jRLhFNWiUEwYa6BNdYgO3GaTgQK5pkQUbnSWd3oLfYHkk3T49jf/TflyHBdCjNtGarm7kJtcy+uoCU4b4M6hhA==" workbookSaltValue="FKJRfJ0A/tkvnjc42Afmbw==" workbookSpinCount="100000" lockStructure="1"/>
  <bookViews>
    <workbookView xWindow="-120" yWindow="-120" windowWidth="20730" windowHeight="11160" tabRatio="540"/>
  </bookViews>
  <sheets>
    <sheet name="Serie subsidio y ahorro" sheetId="19" r:id="rId1"/>
    <sheet name="Hoja3" sheetId="20" state="hidden" r:id="rId2"/>
  </sheets>
  <definedNames>
    <definedName name="_xlnm.Print_Area" localSheetId="0">'Serie subsidio y ahorro'!$A$7:$I$11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0" l="1"/>
  <c r="B2" i="20" s="1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D35" i="19" l="1"/>
  <c r="D36" i="19"/>
  <c r="D37" i="19"/>
  <c r="E37" i="19" s="1"/>
  <c r="D38" i="19"/>
  <c r="N38" i="19" l="1"/>
  <c r="O38" i="19" s="1"/>
  <c r="E38" i="19"/>
  <c r="G38" i="19" s="1"/>
  <c r="F38" i="19" s="1"/>
  <c r="H38" i="19" s="1"/>
  <c r="J38" i="19" s="1"/>
  <c r="N36" i="19"/>
  <c r="O36" i="19" s="1"/>
  <c r="Q36" i="19" s="1"/>
  <c r="P36" i="19" s="1"/>
  <c r="R36" i="19" s="1"/>
  <c r="T36" i="19" s="1"/>
  <c r="E36" i="19"/>
  <c r="G36" i="19" s="1"/>
  <c r="I36" i="19" s="1"/>
  <c r="K36" i="19" s="1"/>
  <c r="N35" i="19"/>
  <c r="O35" i="19" s="1"/>
  <c r="E35" i="19"/>
  <c r="G35" i="19" s="1"/>
  <c r="I35" i="19" s="1"/>
  <c r="K35" i="19" s="1"/>
  <c r="Q38" i="19"/>
  <c r="P38" i="19" s="1"/>
  <c r="R38" i="19" s="1"/>
  <c r="T38" i="19" s="1"/>
  <c r="Q35" i="19"/>
  <c r="S35" i="19" s="1"/>
  <c r="U35" i="19" s="1"/>
  <c r="G37" i="19"/>
  <c r="I37" i="19" s="1"/>
  <c r="K37" i="19" s="1"/>
  <c r="N37" i="19"/>
  <c r="D31" i="19"/>
  <c r="E31" i="19" s="1"/>
  <c r="D32" i="19"/>
  <c r="E32" i="19" s="1"/>
  <c r="D33" i="19"/>
  <c r="E33" i="19" s="1"/>
  <c r="D34" i="19"/>
  <c r="E34" i="19" s="1"/>
  <c r="D29" i="19"/>
  <c r="E29" i="19" s="1"/>
  <c r="D30" i="19"/>
  <c r="E30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17" i="19"/>
  <c r="E17" i="19" s="1"/>
  <c r="D16" i="19"/>
  <c r="E16" i="19" s="1"/>
  <c r="O37" i="19" l="1"/>
  <c r="Q37" i="19" s="1"/>
  <c r="S37" i="19" s="1"/>
  <c r="U37" i="19" s="1"/>
  <c r="F37" i="19"/>
  <c r="H37" i="19" s="1"/>
  <c r="J37" i="19" s="1"/>
  <c r="F35" i="19"/>
  <c r="H35" i="19" s="1"/>
  <c r="J35" i="19" s="1"/>
  <c r="P35" i="19"/>
  <c r="R35" i="19" s="1"/>
  <c r="T35" i="19" s="1"/>
  <c r="I38" i="19"/>
  <c r="K38" i="19" s="1"/>
  <c r="F36" i="19"/>
  <c r="H36" i="19" s="1"/>
  <c r="J36" i="19" s="1"/>
  <c r="S38" i="19"/>
  <c r="U38" i="19" s="1"/>
  <c r="S36" i="19"/>
  <c r="U36" i="19" s="1"/>
  <c r="G16" i="19"/>
  <c r="G17" i="19"/>
  <c r="F17" i="19" s="1"/>
  <c r="H17" i="19" s="1"/>
  <c r="J17" i="19" s="1"/>
  <c r="G32" i="19"/>
  <c r="F32" i="19" s="1"/>
  <c r="H32" i="19" s="1"/>
  <c r="J32" i="19" s="1"/>
  <c r="G19" i="19"/>
  <c r="N28" i="19"/>
  <c r="G28" i="19"/>
  <c r="F28" i="19" s="1"/>
  <c r="H28" i="19" s="1"/>
  <c r="J28" i="19" s="1"/>
  <c r="N23" i="19"/>
  <c r="G23" i="19"/>
  <c r="F23" i="19" s="1"/>
  <c r="H23" i="19" s="1"/>
  <c r="J23" i="19" s="1"/>
  <c r="N31" i="19"/>
  <c r="G31" i="19"/>
  <c r="F31" i="19" s="1"/>
  <c r="H31" i="19" s="1"/>
  <c r="J31" i="19" s="1"/>
  <c r="N25" i="19"/>
  <c r="G25" i="19"/>
  <c r="F25" i="19" s="1"/>
  <c r="H25" i="19" s="1"/>
  <c r="J25" i="19" s="1"/>
  <c r="N30" i="19"/>
  <c r="G30" i="19"/>
  <c r="F30" i="19" s="1"/>
  <c r="H30" i="19" s="1"/>
  <c r="J30" i="19" s="1"/>
  <c r="G24" i="19"/>
  <c r="G29" i="19"/>
  <c r="N20" i="19"/>
  <c r="G20" i="19"/>
  <c r="F20" i="19" s="1"/>
  <c r="H20" i="19" s="1"/>
  <c r="J20" i="19" s="1"/>
  <c r="G27" i="19"/>
  <c r="N22" i="19"/>
  <c r="G22" i="19"/>
  <c r="F22" i="19" s="1"/>
  <c r="H22" i="19" s="1"/>
  <c r="J22" i="19" s="1"/>
  <c r="G34" i="19"/>
  <c r="N21" i="19"/>
  <c r="G21" i="19"/>
  <c r="I21" i="19" s="1"/>
  <c r="K21" i="19" s="1"/>
  <c r="N33" i="19"/>
  <c r="G33" i="19"/>
  <c r="F33" i="19" s="1"/>
  <c r="H33" i="19" s="1"/>
  <c r="J33" i="19" s="1"/>
  <c r="N26" i="19"/>
  <c r="G26" i="19"/>
  <c r="N18" i="19"/>
  <c r="G18" i="19"/>
  <c r="F18" i="19" s="1"/>
  <c r="H18" i="19" s="1"/>
  <c r="J18" i="19" s="1"/>
  <c r="N19" i="19"/>
  <c r="N24" i="19"/>
  <c r="N29" i="19"/>
  <c r="N27" i="19"/>
  <c r="N32" i="19"/>
  <c r="N34" i="19"/>
  <c r="N17" i="19"/>
  <c r="N16" i="19"/>
  <c r="O17" i="19" l="1"/>
  <c r="Q17" i="19" s="1"/>
  <c r="P17" i="19" s="1"/>
  <c r="R17" i="19" s="1"/>
  <c r="T17" i="19" s="1"/>
  <c r="O29" i="19"/>
  <c r="Q29" i="19" s="1"/>
  <c r="O18" i="19"/>
  <c r="Q18" i="19" s="1"/>
  <c r="S18" i="19" s="1"/>
  <c r="U18" i="19" s="1"/>
  <c r="O33" i="19"/>
  <c r="Q33" i="19" s="1"/>
  <c r="O20" i="19"/>
  <c r="Q20" i="19" s="1"/>
  <c r="O30" i="19"/>
  <c r="Q30" i="19" s="1"/>
  <c r="O31" i="19"/>
  <c r="Q31" i="19" s="1"/>
  <c r="O28" i="19"/>
  <c r="Q28" i="19" s="1"/>
  <c r="O16" i="19"/>
  <c r="Q16" i="19" s="1"/>
  <c r="S16" i="19" s="1"/>
  <c r="U16" i="19" s="1"/>
  <c r="O27" i="19"/>
  <c r="Q27" i="19" s="1"/>
  <c r="O34" i="19"/>
  <c r="Q34" i="19" s="1"/>
  <c r="O24" i="19"/>
  <c r="Q24" i="19" s="1"/>
  <c r="O22" i="19"/>
  <c r="Q22" i="19" s="1"/>
  <c r="P22" i="19" s="1"/>
  <c r="R22" i="19" s="1"/>
  <c r="T22" i="19" s="1"/>
  <c r="P37" i="19"/>
  <c r="R37" i="19" s="1"/>
  <c r="T37" i="19" s="1"/>
  <c r="O32" i="19"/>
  <c r="Q32" i="19" s="1"/>
  <c r="O19" i="19"/>
  <c r="Q19" i="19" s="1"/>
  <c r="O26" i="19"/>
  <c r="Q26" i="19" s="1"/>
  <c r="O21" i="19"/>
  <c r="Q21" i="19" s="1"/>
  <c r="S21" i="19" s="1"/>
  <c r="U21" i="19" s="1"/>
  <c r="O25" i="19"/>
  <c r="Q25" i="19" s="1"/>
  <c r="O23" i="19"/>
  <c r="Q23" i="19" s="1"/>
  <c r="F34" i="19"/>
  <c r="H34" i="19" s="1"/>
  <c r="J34" i="19" s="1"/>
  <c r="I34" i="19"/>
  <c r="K34" i="19" s="1"/>
  <c r="F27" i="19"/>
  <c r="H27" i="19" s="1"/>
  <c r="J27" i="19" s="1"/>
  <c r="I27" i="19"/>
  <c r="K27" i="19" s="1"/>
  <c r="F24" i="19"/>
  <c r="H24" i="19" s="1"/>
  <c r="J24" i="19" s="1"/>
  <c r="I24" i="19"/>
  <c r="K24" i="19" s="1"/>
  <c r="F29" i="19"/>
  <c r="H29" i="19" s="1"/>
  <c r="J29" i="19" s="1"/>
  <c r="I29" i="19"/>
  <c r="K29" i="19" s="1"/>
  <c r="F19" i="19"/>
  <c r="H19" i="19" s="1"/>
  <c r="J19" i="19" s="1"/>
  <c r="I19" i="19"/>
  <c r="K19" i="19" s="1"/>
  <c r="I33" i="19"/>
  <c r="K33" i="19" s="1"/>
  <c r="I17" i="19"/>
  <c r="K17" i="19" s="1"/>
  <c r="I30" i="19"/>
  <c r="K30" i="19" s="1"/>
  <c r="I18" i="19"/>
  <c r="K18" i="19" s="1"/>
  <c r="I31" i="19"/>
  <c r="K31" i="19" s="1"/>
  <c r="I25" i="19"/>
  <c r="K25" i="19" s="1"/>
  <c r="F21" i="19"/>
  <c r="H21" i="19" s="1"/>
  <c r="J21" i="19" s="1"/>
  <c r="I22" i="19"/>
  <c r="K22" i="19" s="1"/>
  <c r="I32" i="19"/>
  <c r="K32" i="19" s="1"/>
  <c r="I28" i="19"/>
  <c r="K28" i="19" s="1"/>
  <c r="I20" i="19"/>
  <c r="K20" i="19" s="1"/>
  <c r="I23" i="19"/>
  <c r="K23" i="19" s="1"/>
  <c r="F26" i="19"/>
  <c r="H26" i="19" s="1"/>
  <c r="J26" i="19" s="1"/>
  <c r="I26" i="19"/>
  <c r="K26" i="19" s="1"/>
  <c r="I16" i="19"/>
  <c r="K16" i="19" s="1"/>
  <c r="P31" i="19" l="1"/>
  <c r="R31" i="19" s="1"/>
  <c r="T31" i="19" s="1"/>
  <c r="S31" i="19"/>
  <c r="U31" i="19" s="1"/>
  <c r="S27" i="19"/>
  <c r="U27" i="19" s="1"/>
  <c r="P27" i="19"/>
  <c r="R27" i="19" s="1"/>
  <c r="T27" i="19" s="1"/>
  <c r="P29" i="19"/>
  <c r="R29" i="19" s="1"/>
  <c r="T29" i="19" s="1"/>
  <c r="S29" i="19"/>
  <c r="U29" i="19" s="1"/>
  <c r="P19" i="19"/>
  <c r="R19" i="19" s="1"/>
  <c r="T19" i="19" s="1"/>
  <c r="S19" i="19"/>
  <c r="U19" i="19" s="1"/>
  <c r="S24" i="19"/>
  <c r="U24" i="19" s="1"/>
  <c r="P24" i="19"/>
  <c r="R24" i="19" s="1"/>
  <c r="T24" i="19" s="1"/>
  <c r="S30" i="19"/>
  <c r="U30" i="19" s="1"/>
  <c r="P30" i="19"/>
  <c r="R30" i="19" s="1"/>
  <c r="T30" i="19" s="1"/>
  <c r="P16" i="19"/>
  <c r="R16" i="19" s="1"/>
  <c r="T16" i="19" s="1"/>
  <c r="P21" i="19"/>
  <c r="R21" i="19" s="1"/>
  <c r="T21" i="19" s="1"/>
  <c r="S22" i="19"/>
  <c r="U22" i="19" s="1"/>
  <c r="P18" i="19"/>
  <c r="R18" i="19" s="1"/>
  <c r="T18" i="19" s="1"/>
  <c r="S34" i="19"/>
  <c r="U34" i="19" s="1"/>
  <c r="P25" i="19"/>
  <c r="R25" i="19" s="1"/>
  <c r="T25" i="19" s="1"/>
  <c r="S25" i="19"/>
  <c r="U25" i="19" s="1"/>
  <c r="P20" i="19"/>
  <c r="R20" i="19" s="1"/>
  <c r="T20" i="19" s="1"/>
  <c r="S20" i="19"/>
  <c r="U20" i="19" s="1"/>
  <c r="P23" i="19"/>
  <c r="R23" i="19" s="1"/>
  <c r="T23" i="19" s="1"/>
  <c r="S23" i="19"/>
  <c r="U23" i="19" s="1"/>
  <c r="P28" i="19"/>
  <c r="R28" i="19" s="1"/>
  <c r="T28" i="19" s="1"/>
  <c r="S28" i="19"/>
  <c r="U28" i="19" s="1"/>
  <c r="P26" i="19"/>
  <c r="R26" i="19" s="1"/>
  <c r="T26" i="19" s="1"/>
  <c r="S26" i="19"/>
  <c r="U26" i="19" s="1"/>
  <c r="S17" i="19"/>
  <c r="U17" i="19" s="1"/>
  <c r="F16" i="19"/>
  <c r="H16" i="19" s="1"/>
  <c r="J16" i="19" s="1"/>
  <c r="P33" i="19" l="1"/>
  <c r="R33" i="19" s="1"/>
  <c r="T33" i="19" s="1"/>
  <c r="S33" i="19"/>
  <c r="U33" i="19" s="1"/>
  <c r="P32" i="19"/>
  <c r="R32" i="19" s="1"/>
  <c r="T32" i="19" s="1"/>
  <c r="S32" i="19"/>
  <c r="U32" i="19" s="1"/>
  <c r="P34" i="19"/>
  <c r="R34" i="19" s="1"/>
  <c r="T34" i="19" s="1"/>
</calcChain>
</file>

<file path=xl/sharedStrings.xml><?xml version="1.0" encoding="utf-8"?>
<sst xmlns="http://schemas.openxmlformats.org/spreadsheetml/2006/main" count="47" uniqueCount="36">
  <si>
    <t>N° de viviendas</t>
  </si>
  <si>
    <t>Densidad (viv/ha)</t>
  </si>
  <si>
    <t>Superficie terreno m2</t>
  </si>
  <si>
    <t>Superficie terreno has</t>
  </si>
  <si>
    <t>Valor terreno UF/m2</t>
  </si>
  <si>
    <t>Ahorro mínimo (UF)</t>
  </si>
  <si>
    <t>TOTAL</t>
  </si>
  <si>
    <t>Subsidio inicial (UF)</t>
  </si>
  <si>
    <t>Valor terreno por familia (UF)</t>
  </si>
  <si>
    <t>Saldo por familia precio terreno (UF)</t>
  </si>
  <si>
    <t>TOTAL SUBSIDIO SUELO (UF)</t>
  </si>
  <si>
    <t>TOTAL SUBSIDIO SUELO ($)</t>
  </si>
  <si>
    <t>Coesfuerzo ahorro (UF)</t>
  </si>
  <si>
    <t>TOTAL AHORRO FAMILIA (UF)</t>
  </si>
  <si>
    <t>Subsidio inicial</t>
  </si>
  <si>
    <t>Coesfuerzo</t>
  </si>
  <si>
    <t>Sobre 40% RSH</t>
  </si>
  <si>
    <t>Hasta 40% RSH</t>
  </si>
  <si>
    <t>Parámetros</t>
  </si>
  <si>
    <t>Valor UF Junio 2019</t>
  </si>
  <si>
    <t>Simulación subsidio adquisición terreno</t>
  </si>
  <si>
    <t>Tope Subsidio adicional</t>
  </si>
  <si>
    <t>Cobertura Subsidio adicional</t>
  </si>
  <si>
    <t>Familias hasta el 40%</t>
  </si>
  <si>
    <t>Familias sobre el 40%</t>
  </si>
  <si>
    <t>Subsidio adicional (UF) dentro 40% RSH fuera AV</t>
  </si>
  <si>
    <t>Subsidio adicional (UF) sobre 40% RSH fuera AV</t>
  </si>
  <si>
    <t>TOTAL AHORRO FAMILIA HASTA 40% RSH ($)</t>
  </si>
  <si>
    <t>TOTAL AHORRO FAMILIA SOBRE 40% RSH ($)</t>
  </si>
  <si>
    <t>Área 2 de la Región Metropolitana</t>
  </si>
  <si>
    <t>Simulador subsidio adquisición suelo y ahorro - Llamado para la adquisición de terrenos y desarrollo de proyectos de Construcción en Nuevos Terrenos</t>
  </si>
  <si>
    <t>Res. Ex. N° 536, (V. y U.), de fecha 23 de marzo de 2020</t>
  </si>
  <si>
    <t>Modelo A</t>
  </si>
  <si>
    <t>Modelo B</t>
  </si>
  <si>
    <t>Instrucciones:</t>
  </si>
  <si>
    <t>1. Introducir valores en celdas amarillas.
2. Resultados de ahorro mínimo, adicional y subsidio adquisición de suelo aparecerán abajo según valor UF/m2 del terreno en cuestión.
3. Este simulador es sólo de orientación, no aplica como validador formal del cálculo, el que deberpa realizar la Entidad Pastrocinante conforme a la resolución que norma el llamado, y que será evaluado por SERVIU al postular.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</si>
</sst>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$&quot;* #,##0_ ;_ &quot;$&quot;* \-#,##0_ ;_ &quot;$&quot;* &quot;-&quot;_ ;_ @_ "/>
    <numFmt numFmtId="164" formatCode="_ &quot;$&quot;* #,##0.00_ ;_ &quot;$&quot;* \-#,##0.00_ ;_ &quot;$&quot;* &quot;-&quot;_ ;_ @_ "/>
    <numFmt numFmtId="165" formatCode="#,##0.0"/>
    <numFmt numFmtId="166" formatCode="_ &quot;$&quot;* #,##0_ ;_ &quot;$&quot;* \-#,##0_ ;_ &quot;$&quot;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0" tint="-0.249977111117893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4"/>
      <color rgb="FF333333"/>
      <name val="Trebuchet MS"/>
      <family val="2"/>
    </font>
    <font>
      <sz val="20"/>
      <color theme="4"/>
      <name val="Trebuchet MS"/>
      <family val="2"/>
    </font>
    <font>
      <b/>
      <sz val="14"/>
      <color theme="4"/>
      <name val="Trebuchet MS"/>
      <family val="2"/>
    </font>
    <font>
      <sz val="20"/>
      <color theme="1"/>
      <name val="Trebuchet MS"/>
      <family val="2"/>
    </font>
    <font>
      <sz val="22"/>
      <color theme="1"/>
      <name val="Trebuchet MS"/>
      <family val="2"/>
    </font>
    <font>
      <b/>
      <sz val="16"/>
      <color theme="8"/>
      <name val="Trebuchet MS"/>
      <family val="2"/>
    </font>
    <font>
      <sz val="18"/>
      <color theme="4"/>
      <name val="Trebuchet MS"/>
      <family val="2"/>
    </font>
    <font>
      <sz val="18"/>
      <color theme="1"/>
      <name val="Trebuchet MS"/>
      <family val="2"/>
    </font>
    <font>
      <b/>
      <sz val="22"/>
      <color theme="2" tint="-0.499984740745262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theme="0" tint="-0.34998626667073579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166" fontId="2" fillId="7" borderId="0" xfId="0" applyNumberFormat="1" applyFont="1" applyFill="1" applyAlignment="1">
      <alignment vertical="center"/>
    </xf>
    <xf numFmtId="3" fontId="2" fillId="7" borderId="0" xfId="0" applyNumberFormat="1" applyFont="1" applyFill="1" applyAlignment="1">
      <alignment vertical="center"/>
    </xf>
    <xf numFmtId="3" fontId="7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3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42" fontId="6" fillId="7" borderId="1" xfId="1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2"/>
    </xf>
    <xf numFmtId="0" fontId="9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9" fontId="6" fillId="7" borderId="0" xfId="2" applyFont="1" applyFill="1" applyAlignment="1">
      <alignment horizontal="center" vertical="center"/>
    </xf>
    <xf numFmtId="42" fontId="8" fillId="7" borderId="0" xfId="1" applyNumberFormat="1" applyFont="1" applyFill="1" applyAlignment="1">
      <alignment vertical="center"/>
    </xf>
    <xf numFmtId="42" fontId="8" fillId="7" borderId="0" xfId="1" applyNumberFormat="1" applyFont="1" applyFill="1" applyAlignment="1">
      <alignment horizontal="center" vertical="center"/>
    </xf>
    <xf numFmtId="166" fontId="4" fillId="7" borderId="0" xfId="0" applyNumberFormat="1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7" borderId="0" xfId="0" applyFont="1" applyFill="1" applyAlignment="1">
      <alignment vertical="center"/>
    </xf>
    <xf numFmtId="0" fontId="15" fillId="7" borderId="0" xfId="0" applyFont="1" applyFill="1" applyAlignment="1">
      <alignment horizontal="left" vertical="center" wrapText="1"/>
    </xf>
    <xf numFmtId="0" fontId="12" fillId="8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4" fontId="8" fillId="7" borderId="0" xfId="1" applyNumberFormat="1" applyFont="1" applyFill="1" applyAlignment="1">
      <alignment horizontal="center" vertical="center"/>
    </xf>
    <xf numFmtId="4" fontId="6" fillId="7" borderId="0" xfId="0" applyNumberFormat="1" applyFont="1" applyFill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3" fontId="15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Moneda [0]" xfId="1" builtinId="7"/>
    <cellStyle name="Normal" xfId="0" builtinId="0"/>
    <cellStyle name="Porcentaje" xfId="2" builtinId="5"/>
  </cellStyles>
  <dxfs count="12"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tabSelected="1" zoomScale="50" zoomScaleNormal="50" workbookViewId="0">
      <selection activeCell="D17" sqref="D17"/>
    </sheetView>
  </sheetViews>
  <sheetFormatPr baseColWidth="10" defaultColWidth="0" defaultRowHeight="16.5" zeroHeight="1" x14ac:dyDescent="0.25"/>
  <cols>
    <col min="1" max="1" width="40.7109375" style="1" customWidth="1"/>
    <col min="2" max="9" width="12.7109375" style="1" customWidth="1"/>
    <col min="10" max="11" width="18.7109375" style="1" customWidth="1"/>
    <col min="12" max="12" width="3.7109375" style="1" customWidth="1"/>
    <col min="13" max="19" width="12.7109375" style="1" customWidth="1"/>
    <col min="20" max="21" width="18.7109375" style="1" customWidth="1"/>
    <col min="22" max="22" width="3.7109375" style="1" hidden="1"/>
    <col min="23" max="29" width="12.7109375" style="1" hidden="1"/>
    <col min="30" max="31" width="18.7109375" style="1" hidden="1"/>
    <col min="32" max="32" width="3.7109375" style="1" hidden="1"/>
    <col min="33" max="39" width="12.7109375" style="1" hidden="1"/>
    <col min="40" max="41" width="18.7109375" style="1" hidden="1"/>
    <col min="42" max="16384" width="11.42578125" style="1" hidden="1"/>
  </cols>
  <sheetData>
    <row r="1" spans="1:41" ht="30" customHeight="1" x14ac:dyDescent="0.25">
      <c r="A1" s="30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29" customFormat="1" ht="18" customHeight="1" x14ac:dyDescent="0.25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8" customHeight="1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8" customHeight="1" x14ac:dyDescent="0.25">
      <c r="A4" s="13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99.75" customHeight="1" x14ac:dyDescent="0.25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8" customHeight="1" x14ac:dyDescent="0.25">
      <c r="A6" s="2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27.75" x14ac:dyDescent="0.25">
      <c r="A7" s="13" t="s">
        <v>18</v>
      </c>
      <c r="B7" s="2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23.25" x14ac:dyDescent="0.25">
      <c r="A8" s="28" t="s">
        <v>0</v>
      </c>
      <c r="B8" s="38">
        <v>150</v>
      </c>
      <c r="C8" s="38"/>
      <c r="D8" s="20"/>
      <c r="E8" s="20"/>
      <c r="F8" s="2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23.25" x14ac:dyDescent="0.25">
      <c r="A9" s="28" t="s">
        <v>2</v>
      </c>
      <c r="B9" s="38">
        <v>10000</v>
      </c>
      <c r="C9" s="38"/>
      <c r="D9" s="2"/>
      <c r="E9" s="21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8.75" x14ac:dyDescent="0.25">
      <c r="A10" s="6"/>
      <c r="B10" s="24"/>
      <c r="C10" s="24"/>
      <c r="D10" s="2"/>
      <c r="E10" s="2"/>
      <c r="F10" s="2"/>
      <c r="G10" s="2"/>
      <c r="H10" s="2"/>
      <c r="I10" s="4"/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27.75" x14ac:dyDescent="0.25">
      <c r="A11" s="13" t="s">
        <v>20</v>
      </c>
      <c r="B11" s="23"/>
      <c r="C11" s="2"/>
      <c r="D11" s="2"/>
      <c r="E11" s="2"/>
      <c r="F11" s="2"/>
      <c r="G11" s="2"/>
      <c r="H11" s="2"/>
      <c r="I11" s="4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28.5" x14ac:dyDescent="0.25">
      <c r="A12" s="2"/>
      <c r="B12" s="2"/>
      <c r="C12" s="32" t="s">
        <v>29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41" ht="21" x14ac:dyDescent="0.25">
      <c r="A13" s="2"/>
      <c r="B13" s="2"/>
      <c r="C13" s="33" t="s">
        <v>23</v>
      </c>
      <c r="D13" s="33"/>
      <c r="E13" s="33"/>
      <c r="F13" s="33"/>
      <c r="G13" s="33"/>
      <c r="H13" s="33"/>
      <c r="I13" s="33"/>
      <c r="J13" s="33"/>
      <c r="K13" s="33"/>
      <c r="L13" s="25"/>
      <c r="M13" s="33" t="s">
        <v>24</v>
      </c>
      <c r="N13" s="33"/>
      <c r="O13" s="33"/>
      <c r="P13" s="33"/>
      <c r="Q13" s="33"/>
      <c r="R13" s="33"/>
      <c r="S13" s="33"/>
      <c r="T13" s="33"/>
      <c r="U13" s="33"/>
    </row>
    <row r="14" spans="1:41" ht="18" x14ac:dyDescent="0.25">
      <c r="A14" s="2"/>
      <c r="B14" s="2"/>
      <c r="C14" s="14"/>
      <c r="D14" s="14"/>
      <c r="E14" s="14"/>
      <c r="F14" s="34" t="s">
        <v>15</v>
      </c>
      <c r="G14" s="34"/>
      <c r="H14" s="34" t="s">
        <v>6</v>
      </c>
      <c r="I14" s="34"/>
      <c r="J14" s="34" t="s">
        <v>6</v>
      </c>
      <c r="K14" s="34"/>
      <c r="L14" s="14"/>
      <c r="M14" s="14"/>
      <c r="N14" s="14"/>
      <c r="O14" s="14"/>
      <c r="P14" s="34" t="s">
        <v>15</v>
      </c>
      <c r="Q14" s="34"/>
      <c r="R14" s="34" t="s">
        <v>6</v>
      </c>
      <c r="S14" s="34"/>
      <c r="T14" s="34" t="s">
        <v>6</v>
      </c>
      <c r="U14" s="34"/>
    </row>
    <row r="15" spans="1:41" ht="90" x14ac:dyDescent="0.25">
      <c r="A15" s="15" t="s">
        <v>4</v>
      </c>
      <c r="B15" s="15" t="s">
        <v>8</v>
      </c>
      <c r="C15" s="16" t="s">
        <v>5</v>
      </c>
      <c r="D15" s="17" t="s">
        <v>7</v>
      </c>
      <c r="E15" s="15" t="s">
        <v>9</v>
      </c>
      <c r="F15" s="16" t="s">
        <v>12</v>
      </c>
      <c r="G15" s="17" t="s">
        <v>25</v>
      </c>
      <c r="H15" s="16" t="s">
        <v>13</v>
      </c>
      <c r="I15" s="17" t="s">
        <v>10</v>
      </c>
      <c r="J15" s="16" t="s">
        <v>27</v>
      </c>
      <c r="K15" s="17" t="s">
        <v>11</v>
      </c>
      <c r="L15" s="14"/>
      <c r="M15" s="16" t="s">
        <v>5</v>
      </c>
      <c r="N15" s="17" t="s">
        <v>7</v>
      </c>
      <c r="O15" s="15" t="s">
        <v>9</v>
      </c>
      <c r="P15" s="16" t="s">
        <v>12</v>
      </c>
      <c r="Q15" s="17" t="s">
        <v>26</v>
      </c>
      <c r="R15" s="16" t="s">
        <v>13</v>
      </c>
      <c r="S15" s="17" t="s">
        <v>10</v>
      </c>
      <c r="T15" s="16" t="s">
        <v>28</v>
      </c>
      <c r="U15" s="17" t="s">
        <v>11</v>
      </c>
    </row>
    <row r="16" spans="1:41" ht="18.75" x14ac:dyDescent="0.25">
      <c r="A16" s="19">
        <v>1</v>
      </c>
      <c r="B16" s="5">
        <f>($B$9*A16)/B$8</f>
        <v>66.666666666666671</v>
      </c>
      <c r="C16" s="9">
        <v>10</v>
      </c>
      <c r="D16" s="9">
        <f>Hoja3!C$5</f>
        <v>200</v>
      </c>
      <c r="E16" s="18">
        <f>IF((D16+C16-B16)&gt;0,0,D16+C16-B16)</f>
        <v>0</v>
      </c>
      <c r="F16" s="10">
        <f>IF(G16=0,0,-E16-G16)</f>
        <v>0</v>
      </c>
      <c r="G16" s="10">
        <f>IF($E16&gt;=0,0,IF(-$E16*Hoja3!C$8&gt;Hoja3!$C$6,Hoja3!$C$6,-$E16*Hoja3!$C$8))</f>
        <v>0</v>
      </c>
      <c r="H16" s="10">
        <f>C16+F16</f>
        <v>10</v>
      </c>
      <c r="I16" s="10">
        <f>D16+G16</f>
        <v>200</v>
      </c>
      <c r="J16" s="11">
        <f>H16*Hoja3!$B$10</f>
        <v>285717</v>
      </c>
      <c r="K16" s="11">
        <f>I16*Hoja3!$B$10</f>
        <v>5714340</v>
      </c>
      <c r="L16" s="2"/>
      <c r="M16" s="9">
        <v>15</v>
      </c>
      <c r="N16" s="9">
        <f>D16</f>
        <v>200</v>
      </c>
      <c r="O16" s="18">
        <f>IF((N16+M16-B16)&gt;0,0,N16+M16-B16)</f>
        <v>0</v>
      </c>
      <c r="P16" s="10">
        <f>IF(Q16=0,0,-O16-Q16)</f>
        <v>0</v>
      </c>
      <c r="Q16" s="10">
        <f>IF($O16&gt;=0,0,IF(-$O16*Hoja3!C$9&gt;Hoja3!$C$6,Hoja3!$C$6,-$O16*Hoja3!$C$9))</f>
        <v>0</v>
      </c>
      <c r="R16" s="10">
        <f>M16+P16</f>
        <v>15</v>
      </c>
      <c r="S16" s="10">
        <f>N16+Q16</f>
        <v>200</v>
      </c>
      <c r="T16" s="11">
        <f>R16*Hoja3!$B$10</f>
        <v>428575.5</v>
      </c>
      <c r="U16" s="11">
        <f>S16*Hoja3!$B$10</f>
        <v>5714340</v>
      </c>
    </row>
    <row r="17" spans="1:21" ht="18.75" x14ac:dyDescent="0.25">
      <c r="A17" s="19">
        <v>1.5</v>
      </c>
      <c r="B17" s="5">
        <f t="shared" ref="B17:B38" si="0">($B$9*A17)/B$8</f>
        <v>100</v>
      </c>
      <c r="C17" s="9">
        <v>10</v>
      </c>
      <c r="D17" s="9">
        <f>Hoja3!C$5</f>
        <v>200</v>
      </c>
      <c r="E17" s="18">
        <f t="shared" ref="E17:E38" si="1">IF((D17+C17-B17)&gt;0,0,D17+C17-B17)</f>
        <v>0</v>
      </c>
      <c r="F17" s="10">
        <f>IF(G17=0,0,-E17-G17)</f>
        <v>0</v>
      </c>
      <c r="G17" s="10">
        <f>IF($E17&gt;=0,0,IF(-$E17*Hoja3!C$8&gt;Hoja3!$C$6,Hoja3!$C$6,-$E17*Hoja3!$C$8))</f>
        <v>0</v>
      </c>
      <c r="H17" s="10">
        <f>C17+F17</f>
        <v>10</v>
      </c>
      <c r="I17" s="10">
        <f>D17+G17</f>
        <v>200</v>
      </c>
      <c r="J17" s="11">
        <f>H17*Hoja3!$B$10</f>
        <v>285717</v>
      </c>
      <c r="K17" s="11">
        <f>I17*Hoja3!$B$10</f>
        <v>5714340</v>
      </c>
      <c r="L17" s="2"/>
      <c r="M17" s="9">
        <v>15</v>
      </c>
      <c r="N17" s="9">
        <f>D17</f>
        <v>200</v>
      </c>
      <c r="O17" s="18">
        <f t="shared" ref="O17:O38" si="2">IF((N17+M17-B17)&gt;0,0,N17+M17-B17)</f>
        <v>0</v>
      </c>
      <c r="P17" s="10">
        <f>IF(Q17=0,0,-O17-Q17)</f>
        <v>0</v>
      </c>
      <c r="Q17" s="10">
        <f>IF($O17&gt;=0,0,IF(-$O17*Hoja3!C$9&gt;Hoja3!$C$6,Hoja3!$C$6,-$O17*Hoja3!$C$9))</f>
        <v>0</v>
      </c>
      <c r="R17" s="10">
        <f>M17+P17</f>
        <v>15</v>
      </c>
      <c r="S17" s="10">
        <f>N17+Q17</f>
        <v>200</v>
      </c>
      <c r="T17" s="11">
        <f>R17*Hoja3!$B$10</f>
        <v>428575.5</v>
      </c>
      <c r="U17" s="11">
        <f>S17*Hoja3!$B$10</f>
        <v>5714340</v>
      </c>
    </row>
    <row r="18" spans="1:21" ht="18.75" x14ac:dyDescent="0.25">
      <c r="A18" s="19">
        <v>2</v>
      </c>
      <c r="B18" s="5">
        <f t="shared" si="0"/>
        <v>133.33333333333334</v>
      </c>
      <c r="C18" s="9">
        <v>10</v>
      </c>
      <c r="D18" s="9">
        <f>Hoja3!C$5</f>
        <v>200</v>
      </c>
      <c r="E18" s="18">
        <f t="shared" si="1"/>
        <v>0</v>
      </c>
      <c r="F18" s="10">
        <f t="shared" ref="F18:F34" si="3">IF(G18=0,0,-E18-G18)</f>
        <v>0</v>
      </c>
      <c r="G18" s="10">
        <f>IF($E18&gt;=0,0,IF(-$E18*Hoja3!C$8&gt;Hoja3!$C$6,Hoja3!$C$6,-$E18*Hoja3!$C$8))</f>
        <v>0</v>
      </c>
      <c r="H18" s="10">
        <f t="shared" ref="H18:H28" si="4">C18+F18</f>
        <v>10</v>
      </c>
      <c r="I18" s="10">
        <f t="shared" ref="I18:I28" si="5">D18+G18</f>
        <v>200</v>
      </c>
      <c r="J18" s="11">
        <f>H18*Hoja3!$B$10</f>
        <v>285717</v>
      </c>
      <c r="K18" s="11">
        <f>I18*Hoja3!$B$10</f>
        <v>5714340</v>
      </c>
      <c r="L18" s="2"/>
      <c r="M18" s="9">
        <v>15</v>
      </c>
      <c r="N18" s="9">
        <f t="shared" ref="N18:N28" si="6">D18</f>
        <v>200</v>
      </c>
      <c r="O18" s="18">
        <f t="shared" si="2"/>
        <v>0</v>
      </c>
      <c r="P18" s="10">
        <f t="shared" ref="P18:P34" si="7">IF(Q18=0,0,-O18-Q18)</f>
        <v>0</v>
      </c>
      <c r="Q18" s="10">
        <f>IF($O18&gt;=0,0,IF(-$O18*Hoja3!C$9&gt;Hoja3!$C$6,Hoja3!$C$6,-$O18*Hoja3!$C$9))</f>
        <v>0</v>
      </c>
      <c r="R18" s="10">
        <f t="shared" ref="R18:R28" si="8">M18+P18</f>
        <v>15</v>
      </c>
      <c r="S18" s="10">
        <f t="shared" ref="S18:S28" si="9">N18+Q18</f>
        <v>200</v>
      </c>
      <c r="T18" s="11">
        <f>R18*Hoja3!$B$10</f>
        <v>428575.5</v>
      </c>
      <c r="U18" s="11">
        <f>S18*Hoja3!$B$10</f>
        <v>5714340</v>
      </c>
    </row>
    <row r="19" spans="1:21" ht="18.75" x14ac:dyDescent="0.25">
      <c r="A19" s="19">
        <v>2.5</v>
      </c>
      <c r="B19" s="5">
        <f t="shared" si="0"/>
        <v>166.66666666666666</v>
      </c>
      <c r="C19" s="9">
        <v>10</v>
      </c>
      <c r="D19" s="9">
        <f>Hoja3!C$5</f>
        <v>200</v>
      </c>
      <c r="E19" s="18">
        <f t="shared" si="1"/>
        <v>0</v>
      </c>
      <c r="F19" s="10">
        <f t="shared" si="3"/>
        <v>0</v>
      </c>
      <c r="G19" s="10">
        <f>IF($E19&gt;=0,0,IF(-$E19*Hoja3!C$8&gt;Hoja3!$C$6,Hoja3!$C$6,-$E19*Hoja3!$C$8))</f>
        <v>0</v>
      </c>
      <c r="H19" s="10">
        <f t="shared" si="4"/>
        <v>10</v>
      </c>
      <c r="I19" s="10">
        <f t="shared" si="5"/>
        <v>200</v>
      </c>
      <c r="J19" s="11">
        <f>H19*Hoja3!$B$10</f>
        <v>285717</v>
      </c>
      <c r="K19" s="11">
        <f>I19*Hoja3!$B$10</f>
        <v>5714340</v>
      </c>
      <c r="L19" s="2"/>
      <c r="M19" s="9">
        <v>15</v>
      </c>
      <c r="N19" s="9">
        <f t="shared" si="6"/>
        <v>200</v>
      </c>
      <c r="O19" s="18">
        <f t="shared" si="2"/>
        <v>0</v>
      </c>
      <c r="P19" s="10">
        <f t="shared" si="7"/>
        <v>0</v>
      </c>
      <c r="Q19" s="10">
        <f>IF($O19&gt;=0,0,IF(-$O19*Hoja3!C$9&gt;Hoja3!$C$6,Hoja3!$C$6,-$O19*Hoja3!$C$9))</f>
        <v>0</v>
      </c>
      <c r="R19" s="10">
        <f t="shared" si="8"/>
        <v>15</v>
      </c>
      <c r="S19" s="10">
        <f t="shared" si="9"/>
        <v>200</v>
      </c>
      <c r="T19" s="11">
        <f>R19*Hoja3!$B$10</f>
        <v>428575.5</v>
      </c>
      <c r="U19" s="11">
        <f>S19*Hoja3!$B$10</f>
        <v>5714340</v>
      </c>
    </row>
    <row r="20" spans="1:21" ht="18.75" x14ac:dyDescent="0.25">
      <c r="A20" s="19">
        <v>3</v>
      </c>
      <c r="B20" s="5">
        <f t="shared" si="0"/>
        <v>200</v>
      </c>
      <c r="C20" s="9">
        <v>10</v>
      </c>
      <c r="D20" s="9">
        <f>Hoja3!C$5</f>
        <v>200</v>
      </c>
      <c r="E20" s="18">
        <f t="shared" si="1"/>
        <v>0</v>
      </c>
      <c r="F20" s="10">
        <f t="shared" si="3"/>
        <v>0</v>
      </c>
      <c r="G20" s="10">
        <f>IF($E20&gt;=0,0,IF(-$E20*Hoja3!C$8&gt;Hoja3!$C$6,Hoja3!$C$6,-$E20*Hoja3!$C$8))</f>
        <v>0</v>
      </c>
      <c r="H20" s="10">
        <f t="shared" si="4"/>
        <v>10</v>
      </c>
      <c r="I20" s="10">
        <f t="shared" si="5"/>
        <v>200</v>
      </c>
      <c r="J20" s="11">
        <f>H20*Hoja3!$B$10</f>
        <v>285717</v>
      </c>
      <c r="K20" s="11">
        <f>I20*Hoja3!$B$10</f>
        <v>5714340</v>
      </c>
      <c r="L20" s="2"/>
      <c r="M20" s="9">
        <v>15</v>
      </c>
      <c r="N20" s="9">
        <f t="shared" si="6"/>
        <v>200</v>
      </c>
      <c r="O20" s="18">
        <f t="shared" si="2"/>
        <v>0</v>
      </c>
      <c r="P20" s="10">
        <f t="shared" si="7"/>
        <v>0</v>
      </c>
      <c r="Q20" s="10">
        <f>IF($O20&gt;=0,0,IF(-$O20*Hoja3!C$9&gt;Hoja3!$C$6,Hoja3!$C$6,-$O20*Hoja3!$C$9))</f>
        <v>0</v>
      </c>
      <c r="R20" s="10">
        <f t="shared" si="8"/>
        <v>15</v>
      </c>
      <c r="S20" s="10">
        <f t="shared" si="9"/>
        <v>200</v>
      </c>
      <c r="T20" s="11">
        <f>R20*Hoja3!$B$10</f>
        <v>428575.5</v>
      </c>
      <c r="U20" s="11">
        <f>S20*Hoja3!$B$10</f>
        <v>5714340</v>
      </c>
    </row>
    <row r="21" spans="1:21" ht="18.75" x14ac:dyDescent="0.25">
      <c r="A21" s="19">
        <v>3.5</v>
      </c>
      <c r="B21" s="5">
        <f t="shared" si="0"/>
        <v>233.33333333333334</v>
      </c>
      <c r="C21" s="9">
        <v>10</v>
      </c>
      <c r="D21" s="9">
        <f>Hoja3!C$5</f>
        <v>200</v>
      </c>
      <c r="E21" s="18">
        <f t="shared" si="1"/>
        <v>-23.333333333333343</v>
      </c>
      <c r="F21" s="10">
        <f t="shared" si="3"/>
        <v>5.8333333333333357</v>
      </c>
      <c r="G21" s="10">
        <f>IF($E21&gt;=0,0,IF(-$E21*Hoja3!C$8&gt;Hoja3!$C$6,Hoja3!$C$6,-$E21*Hoja3!$C$8))</f>
        <v>17.500000000000007</v>
      </c>
      <c r="H21" s="10">
        <f t="shared" si="4"/>
        <v>15.833333333333336</v>
      </c>
      <c r="I21" s="10">
        <f t="shared" si="5"/>
        <v>217.5</v>
      </c>
      <c r="J21" s="11">
        <f>H21*Hoja3!$B$10</f>
        <v>452385.25000000006</v>
      </c>
      <c r="K21" s="11">
        <f>I21*Hoja3!$B$10</f>
        <v>6214344.75</v>
      </c>
      <c r="L21" s="2"/>
      <c r="M21" s="9">
        <v>15</v>
      </c>
      <c r="N21" s="9">
        <f t="shared" si="6"/>
        <v>200</v>
      </c>
      <c r="O21" s="18">
        <f t="shared" si="2"/>
        <v>-18.333333333333343</v>
      </c>
      <c r="P21" s="10">
        <f t="shared" si="7"/>
        <v>5.5000000000000036</v>
      </c>
      <c r="Q21" s="10">
        <f>IF($O21&gt;=0,0,IF(-$O21*Hoja3!C$9&gt;Hoja3!$C$6,Hoja3!$C$6,-$O21*Hoja3!$C$9))</f>
        <v>12.833333333333339</v>
      </c>
      <c r="R21" s="10">
        <f t="shared" si="8"/>
        <v>20.500000000000004</v>
      </c>
      <c r="S21" s="10">
        <f t="shared" si="9"/>
        <v>212.83333333333334</v>
      </c>
      <c r="T21" s="11">
        <f>R21*Hoja3!$B$10</f>
        <v>585719.85000000009</v>
      </c>
      <c r="U21" s="11">
        <f>S21*Hoja3!$B$10</f>
        <v>6081010.1500000004</v>
      </c>
    </row>
    <row r="22" spans="1:21" ht="18.75" x14ac:dyDescent="0.25">
      <c r="A22" s="19">
        <v>4</v>
      </c>
      <c r="B22" s="5">
        <f t="shared" si="0"/>
        <v>266.66666666666669</v>
      </c>
      <c r="C22" s="9">
        <v>10</v>
      </c>
      <c r="D22" s="9">
        <f>Hoja3!C$5</f>
        <v>200</v>
      </c>
      <c r="E22" s="18">
        <f t="shared" si="1"/>
        <v>-56.666666666666686</v>
      </c>
      <c r="F22" s="10">
        <f t="shared" si="3"/>
        <v>14.166666666666671</v>
      </c>
      <c r="G22" s="10">
        <f>IF($E22&gt;=0,0,IF(-$E22*Hoja3!C$8&gt;Hoja3!$C$6,Hoja3!$C$6,-$E22*Hoja3!$C$8))</f>
        <v>42.500000000000014</v>
      </c>
      <c r="H22" s="10">
        <f t="shared" si="4"/>
        <v>24.166666666666671</v>
      </c>
      <c r="I22" s="10">
        <f t="shared" si="5"/>
        <v>242.5</v>
      </c>
      <c r="J22" s="11">
        <f>H22*Hoja3!$B$10</f>
        <v>690482.75000000012</v>
      </c>
      <c r="K22" s="11">
        <f>I22*Hoja3!$B$10</f>
        <v>6928637.25</v>
      </c>
      <c r="L22" s="2"/>
      <c r="M22" s="9">
        <v>15</v>
      </c>
      <c r="N22" s="9">
        <f t="shared" si="6"/>
        <v>200</v>
      </c>
      <c r="O22" s="18">
        <f t="shared" si="2"/>
        <v>-51.666666666666686</v>
      </c>
      <c r="P22" s="10">
        <f t="shared" si="7"/>
        <v>15.500000000000007</v>
      </c>
      <c r="Q22" s="10">
        <f>IF($O22&gt;=0,0,IF(-$O22*Hoja3!C$9&gt;Hoja3!$C$6,Hoja3!$C$6,-$O22*Hoja3!$C$9))</f>
        <v>36.166666666666679</v>
      </c>
      <c r="R22" s="10">
        <f t="shared" si="8"/>
        <v>30.500000000000007</v>
      </c>
      <c r="S22" s="10">
        <f t="shared" si="9"/>
        <v>236.16666666666669</v>
      </c>
      <c r="T22" s="11">
        <f>R22*Hoja3!$B$10</f>
        <v>871436.85000000021</v>
      </c>
      <c r="U22" s="11">
        <f>S22*Hoja3!$B$10</f>
        <v>6747683.1500000004</v>
      </c>
    </row>
    <row r="23" spans="1:21" ht="18.75" x14ac:dyDescent="0.25">
      <c r="A23" s="19">
        <v>4.5</v>
      </c>
      <c r="B23" s="5">
        <f t="shared" si="0"/>
        <v>300</v>
      </c>
      <c r="C23" s="9">
        <v>10</v>
      </c>
      <c r="D23" s="9">
        <f>Hoja3!C$5</f>
        <v>200</v>
      </c>
      <c r="E23" s="18">
        <f t="shared" si="1"/>
        <v>-90</v>
      </c>
      <c r="F23" s="10">
        <f t="shared" si="3"/>
        <v>22.5</v>
      </c>
      <c r="G23" s="10">
        <f>IF($E23&gt;=0,0,IF(-$E23*Hoja3!C$8&gt;Hoja3!$C$6,Hoja3!$C$6,-$E23*Hoja3!$C$8))</f>
        <v>67.5</v>
      </c>
      <c r="H23" s="10">
        <f t="shared" si="4"/>
        <v>32.5</v>
      </c>
      <c r="I23" s="10">
        <f t="shared" si="5"/>
        <v>267.5</v>
      </c>
      <c r="J23" s="11">
        <f>H23*Hoja3!$B$10</f>
        <v>928580.25</v>
      </c>
      <c r="K23" s="11">
        <f>I23*Hoja3!$B$10</f>
        <v>7642929.75</v>
      </c>
      <c r="L23" s="2"/>
      <c r="M23" s="9">
        <v>15</v>
      </c>
      <c r="N23" s="9">
        <f t="shared" si="6"/>
        <v>200</v>
      </c>
      <c r="O23" s="18">
        <f t="shared" si="2"/>
        <v>-85</v>
      </c>
      <c r="P23" s="10">
        <f t="shared" si="7"/>
        <v>25.500000000000007</v>
      </c>
      <c r="Q23" s="10">
        <f>IF($O23&gt;=0,0,IF(-$O23*Hoja3!C$9&gt;Hoja3!$C$6,Hoja3!$C$6,-$O23*Hoja3!$C$9))</f>
        <v>59.499999999999993</v>
      </c>
      <c r="R23" s="10">
        <f t="shared" si="8"/>
        <v>40.500000000000007</v>
      </c>
      <c r="S23" s="10">
        <f t="shared" si="9"/>
        <v>259.5</v>
      </c>
      <c r="T23" s="11">
        <f>R23*Hoja3!$B$10</f>
        <v>1157153.8500000003</v>
      </c>
      <c r="U23" s="11">
        <f>S23*Hoja3!$B$10</f>
        <v>7414356.1500000004</v>
      </c>
    </row>
    <row r="24" spans="1:21" ht="18.75" x14ac:dyDescent="0.25">
      <c r="A24" s="19">
        <v>5</v>
      </c>
      <c r="B24" s="5">
        <f t="shared" si="0"/>
        <v>333.33333333333331</v>
      </c>
      <c r="C24" s="9">
        <v>10</v>
      </c>
      <c r="D24" s="9">
        <f>Hoja3!C$5</f>
        <v>200</v>
      </c>
      <c r="E24" s="18">
        <f t="shared" si="1"/>
        <v>-123.33333333333331</v>
      </c>
      <c r="F24" s="10">
        <f t="shared" si="3"/>
        <v>30.833333333333329</v>
      </c>
      <c r="G24" s="10">
        <f>IF($E24&gt;=0,0,IF(-$E24*Hoja3!C$8&gt;Hoja3!$C$6,Hoja3!$C$6,-$E24*Hoja3!$C$8))</f>
        <v>92.499999999999986</v>
      </c>
      <c r="H24" s="10">
        <f t="shared" si="4"/>
        <v>40.833333333333329</v>
      </c>
      <c r="I24" s="10">
        <f t="shared" si="5"/>
        <v>292.5</v>
      </c>
      <c r="J24" s="11">
        <f>H24*Hoja3!$B$10</f>
        <v>1166677.75</v>
      </c>
      <c r="K24" s="11">
        <f>I24*Hoja3!$B$10</f>
        <v>8357222.25</v>
      </c>
      <c r="L24" s="2"/>
      <c r="M24" s="9">
        <v>15</v>
      </c>
      <c r="N24" s="9">
        <f t="shared" si="6"/>
        <v>200</v>
      </c>
      <c r="O24" s="18">
        <f t="shared" si="2"/>
        <v>-118.33333333333331</v>
      </c>
      <c r="P24" s="10">
        <f t="shared" si="7"/>
        <v>35.5</v>
      </c>
      <c r="Q24" s="10">
        <f>IF($O24&gt;=0,0,IF(-$O24*Hoja3!C$9&gt;Hoja3!$C$6,Hoja3!$C$6,-$O24*Hoja3!$C$9))</f>
        <v>82.833333333333314</v>
      </c>
      <c r="R24" s="10">
        <f t="shared" si="8"/>
        <v>50.5</v>
      </c>
      <c r="S24" s="10">
        <f t="shared" si="9"/>
        <v>282.83333333333331</v>
      </c>
      <c r="T24" s="11">
        <f>R24*Hoja3!$B$10</f>
        <v>1442870.85</v>
      </c>
      <c r="U24" s="11">
        <f>S24*Hoja3!$B$10</f>
        <v>8081029.1499999994</v>
      </c>
    </row>
    <row r="25" spans="1:21" ht="18.75" x14ac:dyDescent="0.25">
      <c r="A25" s="19">
        <v>5.5</v>
      </c>
      <c r="B25" s="5">
        <f t="shared" si="0"/>
        <v>366.66666666666669</v>
      </c>
      <c r="C25" s="9">
        <v>10</v>
      </c>
      <c r="D25" s="9">
        <f>Hoja3!C$5</f>
        <v>200</v>
      </c>
      <c r="E25" s="18">
        <f t="shared" si="1"/>
        <v>-156.66666666666669</v>
      </c>
      <c r="F25" s="10">
        <f t="shared" si="3"/>
        <v>39.166666666666671</v>
      </c>
      <c r="G25" s="10">
        <f>IF($E25&gt;=0,0,IF(-$E25*Hoja3!C$8&gt;Hoja3!$C$6,Hoja3!$C$6,-$E25*Hoja3!$C$8))</f>
        <v>117.50000000000001</v>
      </c>
      <c r="H25" s="10">
        <f t="shared" si="4"/>
        <v>49.166666666666671</v>
      </c>
      <c r="I25" s="10">
        <f t="shared" si="5"/>
        <v>317.5</v>
      </c>
      <c r="J25" s="11">
        <f>H25*Hoja3!$B$10</f>
        <v>1404775.2500000002</v>
      </c>
      <c r="K25" s="11">
        <f>I25*Hoja3!$B$10</f>
        <v>9071514.75</v>
      </c>
      <c r="L25" s="2"/>
      <c r="M25" s="9">
        <v>15</v>
      </c>
      <c r="N25" s="9">
        <f t="shared" si="6"/>
        <v>200</v>
      </c>
      <c r="O25" s="18">
        <f t="shared" si="2"/>
        <v>-151.66666666666669</v>
      </c>
      <c r="P25" s="10">
        <f t="shared" si="7"/>
        <v>45.500000000000014</v>
      </c>
      <c r="Q25" s="10">
        <f>IF($O25&gt;=0,0,IF(-$O25*Hoja3!C$9&gt;Hoja3!$C$6,Hoja3!$C$6,-$O25*Hoja3!$C$9))</f>
        <v>106.16666666666667</v>
      </c>
      <c r="R25" s="10">
        <f t="shared" si="8"/>
        <v>60.500000000000014</v>
      </c>
      <c r="S25" s="10">
        <f t="shared" si="9"/>
        <v>306.16666666666669</v>
      </c>
      <c r="T25" s="11">
        <f>R25*Hoja3!$B$10</f>
        <v>1728587.8500000006</v>
      </c>
      <c r="U25" s="11">
        <f>S25*Hoja3!$B$10</f>
        <v>8747702.1500000004</v>
      </c>
    </row>
    <row r="26" spans="1:21" ht="18.75" x14ac:dyDescent="0.25">
      <c r="A26" s="19">
        <v>6</v>
      </c>
      <c r="B26" s="5">
        <f t="shared" si="0"/>
        <v>400</v>
      </c>
      <c r="C26" s="9">
        <v>10</v>
      </c>
      <c r="D26" s="9">
        <f>Hoja3!C$5</f>
        <v>200</v>
      </c>
      <c r="E26" s="18">
        <f t="shared" si="1"/>
        <v>-190</v>
      </c>
      <c r="F26" s="10">
        <f t="shared" si="3"/>
        <v>47.5</v>
      </c>
      <c r="G26" s="10">
        <f>IF($E26&gt;=0,0,IF(-$E26*Hoja3!C$8&gt;Hoja3!$C$6,Hoja3!$C$6,-$E26*Hoja3!$C$8))</f>
        <v>142.5</v>
      </c>
      <c r="H26" s="10">
        <f t="shared" si="4"/>
        <v>57.5</v>
      </c>
      <c r="I26" s="10">
        <f t="shared" si="5"/>
        <v>342.5</v>
      </c>
      <c r="J26" s="11">
        <f>H26*Hoja3!$B$10</f>
        <v>1642872.75</v>
      </c>
      <c r="K26" s="11">
        <f>I26*Hoja3!$B$10</f>
        <v>9785807.25</v>
      </c>
      <c r="L26" s="2"/>
      <c r="M26" s="9">
        <v>15</v>
      </c>
      <c r="N26" s="9">
        <f t="shared" si="6"/>
        <v>200</v>
      </c>
      <c r="O26" s="18">
        <f t="shared" si="2"/>
        <v>-185</v>
      </c>
      <c r="P26" s="10">
        <f t="shared" si="7"/>
        <v>55.5</v>
      </c>
      <c r="Q26" s="10">
        <f>IF($O26&gt;=0,0,IF(-$O26*Hoja3!C$9&gt;Hoja3!$C$6,Hoja3!$C$6,-$O26*Hoja3!$C$9))</f>
        <v>129.5</v>
      </c>
      <c r="R26" s="10">
        <f t="shared" si="8"/>
        <v>70.5</v>
      </c>
      <c r="S26" s="10">
        <f t="shared" si="9"/>
        <v>329.5</v>
      </c>
      <c r="T26" s="11">
        <f>R26*Hoja3!$B$10</f>
        <v>2014304.85</v>
      </c>
      <c r="U26" s="11">
        <f>S26*Hoja3!$B$10</f>
        <v>9414375.1500000004</v>
      </c>
    </row>
    <row r="27" spans="1:21" ht="18.75" x14ac:dyDescent="0.25">
      <c r="A27" s="19">
        <v>6.5</v>
      </c>
      <c r="B27" s="5">
        <f t="shared" si="0"/>
        <v>433.33333333333331</v>
      </c>
      <c r="C27" s="9">
        <v>10</v>
      </c>
      <c r="D27" s="9">
        <f>Hoja3!C$5</f>
        <v>200</v>
      </c>
      <c r="E27" s="18">
        <f t="shared" si="1"/>
        <v>-223.33333333333331</v>
      </c>
      <c r="F27" s="10">
        <f t="shared" si="3"/>
        <v>55.833333333333314</v>
      </c>
      <c r="G27" s="10">
        <f>IF($E27&gt;=0,0,IF(-$E27*Hoja3!C$8&gt;Hoja3!$C$6,Hoja3!$C$6,-$E27*Hoja3!$C$8))</f>
        <v>167.5</v>
      </c>
      <c r="H27" s="10">
        <f t="shared" si="4"/>
        <v>65.833333333333314</v>
      </c>
      <c r="I27" s="10">
        <f t="shared" si="5"/>
        <v>367.5</v>
      </c>
      <c r="J27" s="11">
        <f>H27*Hoja3!$B$10</f>
        <v>1880970.2499999995</v>
      </c>
      <c r="K27" s="11">
        <f>I27*Hoja3!$B$10</f>
        <v>10500099.75</v>
      </c>
      <c r="L27" s="2"/>
      <c r="M27" s="9">
        <v>15</v>
      </c>
      <c r="N27" s="9">
        <f t="shared" si="6"/>
        <v>200</v>
      </c>
      <c r="O27" s="18">
        <f t="shared" si="2"/>
        <v>-218.33333333333331</v>
      </c>
      <c r="P27" s="10">
        <f t="shared" si="7"/>
        <v>65.5</v>
      </c>
      <c r="Q27" s="10">
        <f>IF($O27&gt;=0,0,IF(-$O27*Hoja3!C$9&gt;Hoja3!$C$6,Hoja3!$C$6,-$O27*Hoja3!$C$9))</f>
        <v>152.83333333333331</v>
      </c>
      <c r="R27" s="10">
        <f t="shared" si="8"/>
        <v>80.5</v>
      </c>
      <c r="S27" s="10">
        <f t="shared" si="9"/>
        <v>352.83333333333331</v>
      </c>
      <c r="T27" s="11">
        <f>R27*Hoja3!$B$10</f>
        <v>2300021.85</v>
      </c>
      <c r="U27" s="11">
        <f>S27*Hoja3!$B$10</f>
        <v>10081048.15</v>
      </c>
    </row>
    <row r="28" spans="1:21" ht="18.75" x14ac:dyDescent="0.25">
      <c r="A28" s="19">
        <v>7</v>
      </c>
      <c r="B28" s="5">
        <f t="shared" si="0"/>
        <v>466.66666666666669</v>
      </c>
      <c r="C28" s="9">
        <v>10</v>
      </c>
      <c r="D28" s="9">
        <f>Hoja3!C$5</f>
        <v>200</v>
      </c>
      <c r="E28" s="18">
        <f t="shared" si="1"/>
        <v>-256.66666666666669</v>
      </c>
      <c r="F28" s="10">
        <f t="shared" si="3"/>
        <v>64.166666666666686</v>
      </c>
      <c r="G28" s="10">
        <f>IF($E28&gt;=0,0,IF(-$E28*Hoja3!C$8&gt;Hoja3!$C$6,Hoja3!$C$6,-$E28*Hoja3!$C$8))</f>
        <v>192.5</v>
      </c>
      <c r="H28" s="10">
        <f t="shared" si="4"/>
        <v>74.166666666666686</v>
      </c>
      <c r="I28" s="10">
        <f t="shared" si="5"/>
        <v>392.5</v>
      </c>
      <c r="J28" s="11">
        <f>H28*Hoja3!$B$10</f>
        <v>2119067.7500000005</v>
      </c>
      <c r="K28" s="11">
        <f>I28*Hoja3!$B$10</f>
        <v>11214392.25</v>
      </c>
      <c r="L28" s="2"/>
      <c r="M28" s="9">
        <v>15</v>
      </c>
      <c r="N28" s="9">
        <f t="shared" si="6"/>
        <v>200</v>
      </c>
      <c r="O28" s="18">
        <f t="shared" si="2"/>
        <v>-251.66666666666669</v>
      </c>
      <c r="P28" s="10">
        <f t="shared" si="7"/>
        <v>75.500000000000028</v>
      </c>
      <c r="Q28" s="10">
        <f>IF($O28&gt;=0,0,IF(-$O28*Hoja3!C$9&gt;Hoja3!$C$6,Hoja3!$C$6,-$O28*Hoja3!$C$9))</f>
        <v>176.16666666666666</v>
      </c>
      <c r="R28" s="10">
        <f t="shared" si="8"/>
        <v>90.500000000000028</v>
      </c>
      <c r="S28" s="10">
        <f t="shared" si="9"/>
        <v>376.16666666666663</v>
      </c>
      <c r="T28" s="11">
        <f>R28*Hoja3!$B$10</f>
        <v>2585738.850000001</v>
      </c>
      <c r="U28" s="11">
        <f>S28*Hoja3!$B$10</f>
        <v>10747721.149999999</v>
      </c>
    </row>
    <row r="29" spans="1:21" ht="18.75" x14ac:dyDescent="0.25">
      <c r="A29" s="19">
        <v>7.5</v>
      </c>
      <c r="B29" s="5">
        <f t="shared" si="0"/>
        <v>500</v>
      </c>
      <c r="C29" s="9">
        <v>10</v>
      </c>
      <c r="D29" s="9">
        <f>Hoja3!C$5</f>
        <v>200</v>
      </c>
      <c r="E29" s="18">
        <f t="shared" si="1"/>
        <v>-290</v>
      </c>
      <c r="F29" s="10">
        <f t="shared" si="3"/>
        <v>72.5</v>
      </c>
      <c r="G29" s="10">
        <f>IF($E29&gt;=0,0,IF(-$E29*Hoja3!C$8&gt;Hoja3!$C$6,Hoja3!$C$6,-$E29*Hoja3!$C$8))</f>
        <v>217.5</v>
      </c>
      <c r="H29" s="10">
        <f t="shared" ref="H29:H30" si="10">C29+F29</f>
        <v>82.5</v>
      </c>
      <c r="I29" s="10">
        <f t="shared" ref="I29:I30" si="11">D29+G29</f>
        <v>417.5</v>
      </c>
      <c r="J29" s="11">
        <f>H29*Hoja3!$B$10</f>
        <v>2357165.25</v>
      </c>
      <c r="K29" s="11">
        <f>I29*Hoja3!$B$10</f>
        <v>11928684.75</v>
      </c>
      <c r="L29" s="2"/>
      <c r="M29" s="9">
        <v>15</v>
      </c>
      <c r="N29" s="9">
        <f t="shared" ref="N29:N30" si="12">D29</f>
        <v>200</v>
      </c>
      <c r="O29" s="18">
        <f t="shared" si="2"/>
        <v>-285</v>
      </c>
      <c r="P29" s="10">
        <f t="shared" si="7"/>
        <v>85.5</v>
      </c>
      <c r="Q29" s="10">
        <f>IF($O29&gt;=0,0,IF(-$O29*Hoja3!C$9&gt;Hoja3!$C$6,Hoja3!$C$6,-$O29*Hoja3!$C$9))</f>
        <v>199.5</v>
      </c>
      <c r="R29" s="10">
        <f t="shared" ref="R29:R30" si="13">M29+P29</f>
        <v>100.5</v>
      </c>
      <c r="S29" s="10">
        <f t="shared" ref="S29:S30" si="14">N29+Q29</f>
        <v>399.5</v>
      </c>
      <c r="T29" s="11">
        <f>R29*Hoja3!$B$10</f>
        <v>2871455.85</v>
      </c>
      <c r="U29" s="11">
        <f>S29*Hoja3!$B$10</f>
        <v>11414394.15</v>
      </c>
    </row>
    <row r="30" spans="1:21" ht="18.75" x14ac:dyDescent="0.25">
      <c r="A30" s="19">
        <v>8</v>
      </c>
      <c r="B30" s="5">
        <f t="shared" si="0"/>
        <v>533.33333333333337</v>
      </c>
      <c r="C30" s="9">
        <v>10</v>
      </c>
      <c r="D30" s="9">
        <f>Hoja3!C$5</f>
        <v>200</v>
      </c>
      <c r="E30" s="18">
        <f t="shared" si="1"/>
        <v>-323.33333333333337</v>
      </c>
      <c r="F30" s="10">
        <f t="shared" si="3"/>
        <v>80.833333333333343</v>
      </c>
      <c r="G30" s="10">
        <f>IF($E30&gt;=0,0,IF(-$E30*Hoja3!C$8&gt;Hoja3!$C$6,Hoja3!$C$6,-$E30*Hoja3!$C$8))</f>
        <v>242.50000000000003</v>
      </c>
      <c r="H30" s="10">
        <f t="shared" si="10"/>
        <v>90.833333333333343</v>
      </c>
      <c r="I30" s="10">
        <f t="shared" si="11"/>
        <v>442.5</v>
      </c>
      <c r="J30" s="11">
        <f>H30*Hoja3!$B$10</f>
        <v>2595262.7500000005</v>
      </c>
      <c r="K30" s="11">
        <f>I30*Hoja3!$B$10</f>
        <v>12642977.25</v>
      </c>
      <c r="L30" s="2"/>
      <c r="M30" s="9">
        <v>15</v>
      </c>
      <c r="N30" s="9">
        <f t="shared" si="12"/>
        <v>200</v>
      </c>
      <c r="O30" s="18">
        <f t="shared" si="2"/>
        <v>-318.33333333333337</v>
      </c>
      <c r="P30" s="10">
        <f t="shared" si="7"/>
        <v>95.500000000000028</v>
      </c>
      <c r="Q30" s="10">
        <f>IF($O30&gt;=0,0,IF(-$O30*Hoja3!C$9&gt;Hoja3!$C$6,Hoja3!$C$6,-$O30*Hoja3!$C$9))</f>
        <v>222.83333333333334</v>
      </c>
      <c r="R30" s="10">
        <f t="shared" si="13"/>
        <v>110.50000000000003</v>
      </c>
      <c r="S30" s="10">
        <f t="shared" si="14"/>
        <v>422.83333333333337</v>
      </c>
      <c r="T30" s="11">
        <f>R30*Hoja3!$B$10</f>
        <v>3157172.850000001</v>
      </c>
      <c r="U30" s="11">
        <f>S30*Hoja3!$B$10</f>
        <v>12081067.150000002</v>
      </c>
    </row>
    <row r="31" spans="1:21" ht="18.75" x14ac:dyDescent="0.25">
      <c r="A31" s="19">
        <v>8.5</v>
      </c>
      <c r="B31" s="5">
        <f t="shared" si="0"/>
        <v>566.66666666666663</v>
      </c>
      <c r="C31" s="9">
        <v>10</v>
      </c>
      <c r="D31" s="9">
        <f>Hoja3!C$5</f>
        <v>200</v>
      </c>
      <c r="E31" s="18">
        <f t="shared" si="1"/>
        <v>-356.66666666666663</v>
      </c>
      <c r="F31" s="10">
        <f t="shared" si="3"/>
        <v>89.166666666666629</v>
      </c>
      <c r="G31" s="10">
        <f>IF($E31&gt;=0,0,IF(-$E31*Hoja3!C$8&gt;Hoja3!$C$6,Hoja3!$C$6,-$E31*Hoja3!$C$8))</f>
        <v>267.5</v>
      </c>
      <c r="H31" s="10">
        <f t="shared" ref="H31:H34" si="15">C31+F31</f>
        <v>99.166666666666629</v>
      </c>
      <c r="I31" s="10">
        <f t="shared" ref="I31:I34" si="16">D31+G31</f>
        <v>467.5</v>
      </c>
      <c r="J31" s="11">
        <f>H31*Hoja3!$B$10</f>
        <v>2833360.2499999991</v>
      </c>
      <c r="K31" s="11">
        <f>I31*Hoja3!$B$10</f>
        <v>13357269.75</v>
      </c>
      <c r="L31" s="2"/>
      <c r="M31" s="9">
        <v>15</v>
      </c>
      <c r="N31" s="9">
        <f t="shared" ref="N31:N34" si="17">D31</f>
        <v>200</v>
      </c>
      <c r="O31" s="18">
        <f t="shared" si="2"/>
        <v>-351.66666666666663</v>
      </c>
      <c r="P31" s="10">
        <f t="shared" si="7"/>
        <v>105.5</v>
      </c>
      <c r="Q31" s="10">
        <f>IF($O31&gt;=0,0,IF(-$O31*Hoja3!C$9&gt;Hoja3!$C$6,Hoja3!$C$6,-$O31*Hoja3!$C$9))</f>
        <v>246.16666666666663</v>
      </c>
      <c r="R31" s="10">
        <f t="shared" ref="R31:R34" si="18">M31+P31</f>
        <v>120.5</v>
      </c>
      <c r="S31" s="10">
        <f t="shared" ref="S31:S34" si="19">N31+Q31</f>
        <v>446.16666666666663</v>
      </c>
      <c r="T31" s="11">
        <f>R31*Hoja3!$B$10</f>
        <v>3442889.85</v>
      </c>
      <c r="U31" s="11">
        <f>S31*Hoja3!$B$10</f>
        <v>12747740.149999999</v>
      </c>
    </row>
    <row r="32" spans="1:21" ht="18.75" x14ac:dyDescent="0.25">
      <c r="A32" s="19">
        <v>9</v>
      </c>
      <c r="B32" s="5">
        <f t="shared" si="0"/>
        <v>600</v>
      </c>
      <c r="C32" s="9">
        <v>10</v>
      </c>
      <c r="D32" s="9">
        <f>Hoja3!C$5</f>
        <v>200</v>
      </c>
      <c r="E32" s="18">
        <f t="shared" si="1"/>
        <v>-390</v>
      </c>
      <c r="F32" s="10">
        <f t="shared" si="3"/>
        <v>97.5</v>
      </c>
      <c r="G32" s="10">
        <f>IF($E32&gt;=0,0,IF(-$E32*Hoja3!C$8&gt;Hoja3!$C$6,Hoja3!$C$6,-$E32*Hoja3!$C$8))</f>
        <v>292.5</v>
      </c>
      <c r="H32" s="10">
        <f t="shared" si="15"/>
        <v>107.5</v>
      </c>
      <c r="I32" s="10">
        <f t="shared" si="16"/>
        <v>492.5</v>
      </c>
      <c r="J32" s="11">
        <f>H32*Hoja3!$B$10</f>
        <v>3071457.75</v>
      </c>
      <c r="K32" s="11">
        <f>I32*Hoja3!$B$10</f>
        <v>14071562.25</v>
      </c>
      <c r="L32" s="2"/>
      <c r="M32" s="9">
        <v>15</v>
      </c>
      <c r="N32" s="9">
        <f t="shared" si="17"/>
        <v>200</v>
      </c>
      <c r="O32" s="18">
        <f t="shared" si="2"/>
        <v>-385</v>
      </c>
      <c r="P32" s="10">
        <f t="shared" si="7"/>
        <v>115.5</v>
      </c>
      <c r="Q32" s="10">
        <f>IF($O32&gt;=0,0,IF(-$O32*Hoja3!C$9&gt;Hoja3!$C$6,Hoja3!$C$6,-$O32*Hoja3!$C$9))</f>
        <v>269.5</v>
      </c>
      <c r="R32" s="10">
        <f t="shared" si="18"/>
        <v>130.5</v>
      </c>
      <c r="S32" s="10">
        <f t="shared" si="19"/>
        <v>469.5</v>
      </c>
      <c r="T32" s="11">
        <f>R32*Hoja3!$B$10</f>
        <v>3728606.85</v>
      </c>
      <c r="U32" s="11">
        <f>S32*Hoja3!$B$10</f>
        <v>13414413.15</v>
      </c>
    </row>
    <row r="33" spans="1:21" ht="18.75" x14ac:dyDescent="0.25">
      <c r="A33" s="19">
        <v>9.5</v>
      </c>
      <c r="B33" s="5">
        <f t="shared" si="0"/>
        <v>633.33333333333337</v>
      </c>
      <c r="C33" s="9">
        <v>10</v>
      </c>
      <c r="D33" s="9">
        <f>Hoja3!C$5</f>
        <v>200</v>
      </c>
      <c r="E33" s="18">
        <f t="shared" si="1"/>
        <v>-423.33333333333337</v>
      </c>
      <c r="F33" s="10">
        <f t="shared" si="3"/>
        <v>123.33333333333337</v>
      </c>
      <c r="G33" s="10">
        <f>IF($E33&gt;=0,0,IF(-$E33*Hoja3!C$8&gt;Hoja3!$C$6,Hoja3!$C$6,-$E33*Hoja3!$C$8))</f>
        <v>300</v>
      </c>
      <c r="H33" s="10">
        <f t="shared" si="15"/>
        <v>133.33333333333337</v>
      </c>
      <c r="I33" s="10">
        <f t="shared" si="16"/>
        <v>500</v>
      </c>
      <c r="J33" s="11">
        <f>H33*Hoja3!$B$10</f>
        <v>3809560.0000000014</v>
      </c>
      <c r="K33" s="11">
        <f>I33*Hoja3!$B$10</f>
        <v>14285850</v>
      </c>
      <c r="L33" s="2"/>
      <c r="M33" s="9">
        <v>15</v>
      </c>
      <c r="N33" s="9">
        <f t="shared" si="17"/>
        <v>200</v>
      </c>
      <c r="O33" s="18">
        <f t="shared" si="2"/>
        <v>-418.33333333333337</v>
      </c>
      <c r="P33" s="10">
        <f t="shared" si="7"/>
        <v>125.50000000000006</v>
      </c>
      <c r="Q33" s="10">
        <f>IF($O33&gt;=0,0,IF(-$O33*Hoja3!C$9&gt;Hoja3!$C$6,Hoja3!$C$6,-$O33*Hoja3!$C$9))</f>
        <v>292.83333333333331</v>
      </c>
      <c r="R33" s="10">
        <f t="shared" si="18"/>
        <v>140.50000000000006</v>
      </c>
      <c r="S33" s="10">
        <f t="shared" si="19"/>
        <v>492.83333333333331</v>
      </c>
      <c r="T33" s="11">
        <f>R33*Hoja3!$B$10</f>
        <v>4014323.850000002</v>
      </c>
      <c r="U33" s="11">
        <f>S33*Hoja3!$B$10</f>
        <v>14081086.15</v>
      </c>
    </row>
    <row r="34" spans="1:21" ht="18.75" x14ac:dyDescent="0.25">
      <c r="A34" s="19">
        <v>10</v>
      </c>
      <c r="B34" s="5">
        <f t="shared" si="0"/>
        <v>666.66666666666663</v>
      </c>
      <c r="C34" s="9">
        <v>10</v>
      </c>
      <c r="D34" s="9">
        <f>Hoja3!C$5</f>
        <v>200</v>
      </c>
      <c r="E34" s="18">
        <f t="shared" si="1"/>
        <v>-456.66666666666663</v>
      </c>
      <c r="F34" s="10">
        <f t="shared" si="3"/>
        <v>156.66666666666663</v>
      </c>
      <c r="G34" s="10">
        <f>IF($E34&gt;=0,0,IF(-$E34*Hoja3!C$8&gt;Hoja3!$C$6,Hoja3!$C$6,-$E34*Hoja3!$C$8))</f>
        <v>300</v>
      </c>
      <c r="H34" s="10">
        <f t="shared" si="15"/>
        <v>166.66666666666663</v>
      </c>
      <c r="I34" s="10">
        <f t="shared" si="16"/>
        <v>500</v>
      </c>
      <c r="J34" s="11">
        <f>H34*Hoja3!$B$10</f>
        <v>4761949.9999999991</v>
      </c>
      <c r="K34" s="11">
        <f>I34*Hoja3!$B$10</f>
        <v>14285850</v>
      </c>
      <c r="L34" s="2"/>
      <c r="M34" s="9">
        <v>15</v>
      </c>
      <c r="N34" s="9">
        <f t="shared" si="17"/>
        <v>200</v>
      </c>
      <c r="O34" s="18">
        <f t="shared" si="2"/>
        <v>-451.66666666666663</v>
      </c>
      <c r="P34" s="10">
        <f t="shared" si="7"/>
        <v>151.66666666666663</v>
      </c>
      <c r="Q34" s="10">
        <f>IF($O34&gt;=0,0,IF(-$O34*Hoja3!C$9&gt;Hoja3!$C$6,Hoja3!$C$6,-$O34*Hoja3!$C$9))</f>
        <v>300</v>
      </c>
      <c r="R34" s="10">
        <f t="shared" si="18"/>
        <v>166.66666666666663</v>
      </c>
      <c r="S34" s="10">
        <f t="shared" si="19"/>
        <v>500</v>
      </c>
      <c r="T34" s="11">
        <f>R34*Hoja3!$B$10</f>
        <v>4761949.9999999991</v>
      </c>
      <c r="U34" s="11">
        <f>S34*Hoja3!$B$10</f>
        <v>14285850</v>
      </c>
    </row>
    <row r="35" spans="1:21" ht="18.75" x14ac:dyDescent="0.25">
      <c r="A35" s="19">
        <v>10.5</v>
      </c>
      <c r="B35" s="5">
        <f t="shared" si="0"/>
        <v>700</v>
      </c>
      <c r="C35" s="9">
        <v>10</v>
      </c>
      <c r="D35" s="9">
        <f>Hoja3!C$5</f>
        <v>200</v>
      </c>
      <c r="E35" s="18">
        <f t="shared" si="1"/>
        <v>-490</v>
      </c>
      <c r="F35" s="10">
        <f t="shared" ref="F35:F38" si="20">IF(G35=0,0,-E35-G35)</f>
        <v>190</v>
      </c>
      <c r="G35" s="10">
        <f>IF($E35&gt;=0,0,IF(-$E35*Hoja3!C$8&gt;Hoja3!$C$6,Hoja3!$C$6,-$E35*Hoja3!$C$8))</f>
        <v>300</v>
      </c>
      <c r="H35" s="10">
        <f t="shared" ref="H35:H38" si="21">C35+F35</f>
        <v>200</v>
      </c>
      <c r="I35" s="10">
        <f t="shared" ref="I35:I38" si="22">D35+G35</f>
        <v>500</v>
      </c>
      <c r="J35" s="11">
        <f>H35*Hoja3!$B$10</f>
        <v>5714340</v>
      </c>
      <c r="K35" s="11">
        <f>I35*Hoja3!$B$10</f>
        <v>14285850</v>
      </c>
      <c r="L35" s="2"/>
      <c r="M35" s="9">
        <v>15</v>
      </c>
      <c r="N35" s="9">
        <f t="shared" ref="N35:N38" si="23">D35</f>
        <v>200</v>
      </c>
      <c r="O35" s="18">
        <f t="shared" si="2"/>
        <v>-485</v>
      </c>
      <c r="P35" s="10">
        <f t="shared" ref="P35:P38" si="24">IF(Q35=0,0,-O35-Q35)</f>
        <v>185</v>
      </c>
      <c r="Q35" s="10">
        <f>IF($O35&gt;=0,0,IF(-$O35*Hoja3!C$9&gt;Hoja3!$C$6,Hoja3!$C$6,-$O35*Hoja3!$C$9))</f>
        <v>300</v>
      </c>
      <c r="R35" s="10">
        <f t="shared" ref="R35:R38" si="25">M35+P35</f>
        <v>200</v>
      </c>
      <c r="S35" s="10">
        <f t="shared" ref="S35:S38" si="26">N35+Q35</f>
        <v>500</v>
      </c>
      <c r="T35" s="11">
        <f>R35*Hoja3!$B$10</f>
        <v>5714340</v>
      </c>
      <c r="U35" s="11">
        <f>S35*Hoja3!$B$10</f>
        <v>14285850</v>
      </c>
    </row>
    <row r="36" spans="1:21" ht="18.75" x14ac:dyDescent="0.25">
      <c r="A36" s="19">
        <v>11</v>
      </c>
      <c r="B36" s="5">
        <f t="shared" si="0"/>
        <v>733.33333333333337</v>
      </c>
      <c r="C36" s="9">
        <v>10</v>
      </c>
      <c r="D36" s="9">
        <f>Hoja3!C$5</f>
        <v>200</v>
      </c>
      <c r="E36" s="18">
        <f t="shared" si="1"/>
        <v>-523.33333333333337</v>
      </c>
      <c r="F36" s="10">
        <f t="shared" si="20"/>
        <v>223.33333333333337</v>
      </c>
      <c r="G36" s="10">
        <f>IF($E36&gt;=0,0,IF(-$E36*Hoja3!C$8&gt;Hoja3!$C$6,Hoja3!$C$6,-$E36*Hoja3!$C$8))</f>
        <v>300</v>
      </c>
      <c r="H36" s="10">
        <f t="shared" si="21"/>
        <v>233.33333333333337</v>
      </c>
      <c r="I36" s="10">
        <f t="shared" si="22"/>
        <v>500</v>
      </c>
      <c r="J36" s="11">
        <f>H36*Hoja3!$B$10</f>
        <v>6666730.0000000009</v>
      </c>
      <c r="K36" s="11">
        <f>I36*Hoja3!$B$10</f>
        <v>14285850</v>
      </c>
      <c r="L36" s="2"/>
      <c r="M36" s="9">
        <v>15</v>
      </c>
      <c r="N36" s="9">
        <f t="shared" si="23"/>
        <v>200</v>
      </c>
      <c r="O36" s="18">
        <f t="shared" si="2"/>
        <v>-518.33333333333337</v>
      </c>
      <c r="P36" s="10">
        <f t="shared" si="24"/>
        <v>218.33333333333337</v>
      </c>
      <c r="Q36" s="10">
        <f>IF($O36&gt;=0,0,IF(-$O36*Hoja3!C$9&gt;Hoja3!$C$6,Hoja3!$C$6,-$O36*Hoja3!$C$9))</f>
        <v>300</v>
      </c>
      <c r="R36" s="10">
        <f t="shared" si="25"/>
        <v>233.33333333333337</v>
      </c>
      <c r="S36" s="10">
        <f t="shared" si="26"/>
        <v>500</v>
      </c>
      <c r="T36" s="11">
        <f>R36*Hoja3!$B$10</f>
        <v>6666730.0000000009</v>
      </c>
      <c r="U36" s="11">
        <f>S36*Hoja3!$B$10</f>
        <v>14285850</v>
      </c>
    </row>
    <row r="37" spans="1:21" ht="18.75" x14ac:dyDescent="0.25">
      <c r="A37" s="19">
        <v>11.5</v>
      </c>
      <c r="B37" s="5">
        <f t="shared" si="0"/>
        <v>766.66666666666663</v>
      </c>
      <c r="C37" s="9">
        <v>10</v>
      </c>
      <c r="D37" s="9">
        <f>Hoja3!C$5</f>
        <v>200</v>
      </c>
      <c r="E37" s="18">
        <f t="shared" si="1"/>
        <v>-556.66666666666663</v>
      </c>
      <c r="F37" s="10">
        <f t="shared" si="20"/>
        <v>256.66666666666663</v>
      </c>
      <c r="G37" s="10">
        <f>IF($E37&gt;=0,0,IF(-$E37*Hoja3!C$8&gt;Hoja3!$C$6,Hoja3!$C$6,-$E37*Hoja3!$C$8))</f>
        <v>300</v>
      </c>
      <c r="H37" s="10">
        <f t="shared" si="21"/>
        <v>266.66666666666663</v>
      </c>
      <c r="I37" s="10">
        <f t="shared" si="22"/>
        <v>500</v>
      </c>
      <c r="J37" s="11">
        <f>H37*Hoja3!$B$10</f>
        <v>7619119.9999999991</v>
      </c>
      <c r="K37" s="11">
        <f>I37*Hoja3!$B$10</f>
        <v>14285850</v>
      </c>
      <c r="L37" s="2"/>
      <c r="M37" s="9">
        <v>15</v>
      </c>
      <c r="N37" s="9">
        <f t="shared" si="23"/>
        <v>200</v>
      </c>
      <c r="O37" s="18">
        <f t="shared" si="2"/>
        <v>-551.66666666666663</v>
      </c>
      <c r="P37" s="10">
        <f t="shared" si="24"/>
        <v>251.66666666666663</v>
      </c>
      <c r="Q37" s="10">
        <f>IF($O37&gt;=0,0,IF(-$O37*Hoja3!C$9&gt;Hoja3!$C$6,Hoja3!$C$6,-$O37*Hoja3!$C$9))</f>
        <v>300</v>
      </c>
      <c r="R37" s="10">
        <f t="shared" si="25"/>
        <v>266.66666666666663</v>
      </c>
      <c r="S37" s="10">
        <f t="shared" si="26"/>
        <v>500</v>
      </c>
      <c r="T37" s="11">
        <f>R37*Hoja3!$B$10</f>
        <v>7619119.9999999991</v>
      </c>
      <c r="U37" s="11">
        <f>S37*Hoja3!$B$10</f>
        <v>14285850</v>
      </c>
    </row>
    <row r="38" spans="1:21" ht="18.75" x14ac:dyDescent="0.25">
      <c r="A38" s="19">
        <v>12</v>
      </c>
      <c r="B38" s="5">
        <f t="shared" si="0"/>
        <v>800</v>
      </c>
      <c r="C38" s="9">
        <v>10</v>
      </c>
      <c r="D38" s="9">
        <f>Hoja3!C$5</f>
        <v>200</v>
      </c>
      <c r="E38" s="18">
        <f t="shared" si="1"/>
        <v>-590</v>
      </c>
      <c r="F38" s="10">
        <f t="shared" si="20"/>
        <v>290</v>
      </c>
      <c r="G38" s="10">
        <f>IF($E38&gt;=0,0,IF(-$E38*Hoja3!C$8&gt;Hoja3!$C$6,Hoja3!$C$6,-$E38*Hoja3!$C$8))</f>
        <v>300</v>
      </c>
      <c r="H38" s="10">
        <f t="shared" si="21"/>
        <v>300</v>
      </c>
      <c r="I38" s="10">
        <f t="shared" si="22"/>
        <v>500</v>
      </c>
      <c r="J38" s="11">
        <f>H38*Hoja3!$B$10</f>
        <v>8571510</v>
      </c>
      <c r="K38" s="11">
        <f>I38*Hoja3!$B$10</f>
        <v>14285850</v>
      </c>
      <c r="L38" s="2"/>
      <c r="M38" s="9">
        <v>15</v>
      </c>
      <c r="N38" s="9">
        <f t="shared" si="23"/>
        <v>200</v>
      </c>
      <c r="O38" s="18">
        <f t="shared" si="2"/>
        <v>-585</v>
      </c>
      <c r="P38" s="10">
        <f t="shared" si="24"/>
        <v>285</v>
      </c>
      <c r="Q38" s="10">
        <f>IF($O38&gt;=0,0,IF(-$O38*Hoja3!C$9&gt;Hoja3!$C$6,Hoja3!$C$6,-$O38*Hoja3!$C$9))</f>
        <v>300</v>
      </c>
      <c r="R38" s="10">
        <f t="shared" si="25"/>
        <v>300</v>
      </c>
      <c r="S38" s="10">
        <f t="shared" si="26"/>
        <v>500</v>
      </c>
      <c r="T38" s="11">
        <f>R38*Hoja3!$B$10</f>
        <v>8571510</v>
      </c>
      <c r="U38" s="11">
        <f>S38*Hoja3!$B$10</f>
        <v>14285850</v>
      </c>
    </row>
  </sheetData>
  <sheetProtection algorithmName="SHA-512" hashValue="j6ppAEqdxm4tOb/Slz0d2ag9uORE9oZBovFxFc5zfKVoaK0XgWKufmUZDoP8RiUDBYdjrIasRDCnCvJIPbClxA==" saltValue="CF24W/EkqheJpNhmpTgdVA==" spinCount="100000" sheet="1" objects="1" scenarios="1"/>
  <mergeCells count="12">
    <mergeCell ref="T14:U14"/>
    <mergeCell ref="F14:G14"/>
    <mergeCell ref="H14:I14"/>
    <mergeCell ref="J14:K14"/>
    <mergeCell ref="P14:Q14"/>
    <mergeCell ref="R14:S14"/>
    <mergeCell ref="B8:C8"/>
    <mergeCell ref="B9:C9"/>
    <mergeCell ref="A5:U5"/>
    <mergeCell ref="C12:U12"/>
    <mergeCell ref="C13:K13"/>
    <mergeCell ref="M13:U13"/>
  </mergeCells>
  <conditionalFormatting sqref="O16">
    <cfRule type="cellIs" dxfId="11" priority="28" operator="greaterThanOrEqual">
      <formula>0</formula>
    </cfRule>
    <cfRule type="cellIs" dxfId="10" priority="29" operator="lessThan">
      <formula>0</formula>
    </cfRule>
  </conditionalFormatting>
  <conditionalFormatting sqref="O16">
    <cfRule type="cellIs" dxfId="9" priority="25" operator="greaterThanOrEqual">
      <formula>0</formula>
    </cfRule>
  </conditionalFormatting>
  <conditionalFormatting sqref="E16">
    <cfRule type="cellIs" dxfId="8" priority="20" operator="greaterThanOrEqual">
      <formula>0</formula>
    </cfRule>
    <cfRule type="cellIs" dxfId="7" priority="21" operator="lessThan">
      <formula>0</formula>
    </cfRule>
  </conditionalFormatting>
  <conditionalFormatting sqref="E16">
    <cfRule type="cellIs" dxfId="6" priority="19" operator="greaterThanOrEqual">
      <formula>0</formula>
    </cfRule>
  </conditionalFormatting>
  <conditionalFormatting sqref="E17:E38">
    <cfRule type="cellIs" dxfId="5" priority="5" operator="greaterThanOrEqual">
      <formula>0</formula>
    </cfRule>
    <cfRule type="cellIs" dxfId="4" priority="6" operator="lessThan">
      <formula>0</formula>
    </cfRule>
  </conditionalFormatting>
  <conditionalFormatting sqref="E17:E38">
    <cfRule type="cellIs" dxfId="3" priority="4" operator="greaterThanOrEqual">
      <formula>0</formula>
    </cfRule>
  </conditionalFormatting>
  <conditionalFormatting sqref="O17:O38">
    <cfRule type="cellIs" dxfId="2" priority="2" operator="greaterThanOrEqual">
      <formula>0</formula>
    </cfRule>
    <cfRule type="cellIs" dxfId="1" priority="3" operator="lessThan">
      <formula>0</formula>
    </cfRule>
  </conditionalFormatting>
  <conditionalFormatting sqref="O17:O38">
    <cfRule type="cellIs" dxfId="0" priority="1" operator="greaterThanOrEqual">
      <formula>0</formula>
    </cfRule>
  </conditionalFormatting>
  <pageMargins left="0.25" right="0.25" top="0.75" bottom="0.75" header="0.3" footer="0.3"/>
  <pageSetup paperSiz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2"/>
    </sheetView>
  </sheetViews>
  <sheetFormatPr baseColWidth="10" defaultRowHeight="15" x14ac:dyDescent="0.25"/>
  <cols>
    <col min="1" max="1" width="36.42578125" bestFit="1" customWidth="1"/>
  </cols>
  <sheetData>
    <row r="1" spans="1:3" ht="18.75" x14ac:dyDescent="0.25">
      <c r="A1" s="6" t="s">
        <v>3</v>
      </c>
      <c r="B1" s="36">
        <f>'Serie subsidio y ahorro'!B9/10000</f>
        <v>1</v>
      </c>
      <c r="C1" s="36"/>
    </row>
    <row r="2" spans="1:3" ht="18.75" x14ac:dyDescent="0.25">
      <c r="A2" s="6" t="s">
        <v>1</v>
      </c>
      <c r="B2" s="37">
        <f>'Serie subsidio y ahorro'!B8/B1</f>
        <v>150</v>
      </c>
      <c r="C2" s="37"/>
    </row>
    <row r="4" spans="1:3" ht="18.75" x14ac:dyDescent="0.25">
      <c r="A4" s="6"/>
      <c r="B4" s="8" t="s">
        <v>32</v>
      </c>
      <c r="C4" s="8" t="s">
        <v>33</v>
      </c>
    </row>
    <row r="5" spans="1:3" ht="18.75" x14ac:dyDescent="0.25">
      <c r="A5" s="6" t="s">
        <v>14</v>
      </c>
      <c r="B5" s="7">
        <v>250</v>
      </c>
      <c r="C5" s="7">
        <v>200</v>
      </c>
    </row>
    <row r="6" spans="1:3" ht="18.75" x14ac:dyDescent="0.25">
      <c r="A6" s="6" t="s">
        <v>21</v>
      </c>
      <c r="B6" s="7">
        <v>350</v>
      </c>
      <c r="C6" s="7">
        <v>300</v>
      </c>
    </row>
    <row r="7" spans="1:3" ht="18.75" x14ac:dyDescent="0.25">
      <c r="A7" s="6" t="s">
        <v>22</v>
      </c>
      <c r="B7" s="7"/>
      <c r="C7" s="7"/>
    </row>
    <row r="8" spans="1:3" ht="18.75" x14ac:dyDescent="0.25">
      <c r="A8" s="12" t="s">
        <v>17</v>
      </c>
      <c r="B8" s="22">
        <v>0.8</v>
      </c>
      <c r="C8" s="22">
        <v>0.75</v>
      </c>
    </row>
    <row r="9" spans="1:3" ht="18.75" x14ac:dyDescent="0.25">
      <c r="A9" s="12" t="s">
        <v>16</v>
      </c>
      <c r="B9" s="22">
        <v>0.75</v>
      </c>
      <c r="C9" s="22">
        <v>0.7</v>
      </c>
    </row>
    <row r="10" spans="1:3" ht="18.75" x14ac:dyDescent="0.25">
      <c r="A10" s="6" t="s">
        <v>19</v>
      </c>
      <c r="B10" s="35">
        <v>28571.7</v>
      </c>
      <c r="C10" s="35"/>
    </row>
  </sheetData>
  <mergeCells count="3">
    <mergeCell ref="B10:C10"/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Serie subsidio y ahorro</vt:lpstr>
      <vt:lpstr>Hoja3</vt:lpstr>
      <vt:lpstr>'Serie subsidio y ahorro'!Área_de_impresión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Araya Salazar</dc:creator>
  <cp:lastModifiedBy>José Miguel von Bischoffshausen Maluenda</cp:lastModifiedBy>
  <cp:lastPrinted>2020-03-20T19:37:45Z</cp:lastPrinted>
  <dcterms:created xsi:type="dcterms:W3CDTF">2018-06-14T22:15:12Z</dcterms:created>
  <dcterms:modified xsi:type="dcterms:W3CDTF">2020-04-03T11:08:37Z</dcterms:modified>
</cp:coreProperties>
</file>